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29\"/>
    </mc:Choice>
  </mc:AlternateContent>
  <bookViews>
    <workbookView xWindow="0" yWindow="0" windowWidth="19305" windowHeight="8085"/>
  </bookViews>
  <sheets>
    <sheet name="CT2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4" i="1" l="1"/>
  <c r="Y24" i="1"/>
  <c r="Y22" i="1"/>
  <c r="Z22" i="1" s="1"/>
  <c r="Y21" i="1"/>
  <c r="Z21" i="1" s="1"/>
  <c r="Y20" i="1"/>
  <c r="Z20" i="1" s="1"/>
  <c r="Y19" i="1"/>
  <c r="Z19" i="1" s="1"/>
  <c r="Y18" i="1"/>
  <c r="Z18" i="1" s="1"/>
  <c r="Y17" i="1"/>
  <c r="Z17" i="1" s="1"/>
  <c r="Y16" i="1"/>
  <c r="Z16" i="1" s="1"/>
  <c r="Y15" i="1"/>
  <c r="Z15" i="1" s="1"/>
  <c r="Y14" i="1"/>
  <c r="Z14" i="1" s="1"/>
  <c r="Y13" i="1"/>
  <c r="Z13" i="1" s="1"/>
  <c r="Y12" i="1"/>
  <c r="Z12" i="1" s="1"/>
  <c r="Y11" i="1"/>
  <c r="Z11" i="1" s="1"/>
  <c r="Y10" i="1"/>
  <c r="Z10" i="1" s="1"/>
  <c r="Y9" i="1"/>
  <c r="Z9" i="1" s="1"/>
  <c r="Y8" i="1"/>
  <c r="Z8" i="1" s="1"/>
  <c r="Y7" i="1"/>
  <c r="Z7" i="1" s="1"/>
  <c r="Y6" i="1"/>
  <c r="Z6" i="1" s="1"/>
  <c r="Y5" i="1"/>
  <c r="Z5" i="1" s="1"/>
  <c r="Y4" i="1"/>
  <c r="Z4" i="1" s="1"/>
  <c r="Y3" i="1"/>
  <c r="Z3" i="1" s="1"/>
  <c r="Y2" i="1"/>
  <c r="Z2" i="1" s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H21" i="1"/>
  <c r="H17" i="1"/>
  <c r="H13" i="1"/>
  <c r="H9" i="1"/>
  <c r="H5" i="1"/>
  <c r="F22" i="1"/>
  <c r="H22" i="1" s="1"/>
  <c r="F21" i="1"/>
  <c r="F20" i="1"/>
  <c r="H20" i="1" s="1"/>
  <c r="F19" i="1"/>
  <c r="H19" i="1" s="1"/>
  <c r="F18" i="1"/>
  <c r="H18" i="1" s="1"/>
  <c r="F17" i="1"/>
  <c r="F16" i="1"/>
  <c r="H16" i="1" s="1"/>
  <c r="F15" i="1"/>
  <c r="H15" i="1" s="1"/>
  <c r="F14" i="1"/>
  <c r="H14" i="1" s="1"/>
  <c r="F13" i="1"/>
  <c r="F12" i="1"/>
  <c r="H12" i="1" s="1"/>
  <c r="F11" i="1"/>
  <c r="H11" i="1" s="1"/>
  <c r="F10" i="1"/>
  <c r="H10" i="1" s="1"/>
  <c r="F9" i="1"/>
  <c r="F8" i="1"/>
  <c r="H8" i="1" s="1"/>
  <c r="F7" i="1"/>
  <c r="H7" i="1" s="1"/>
  <c r="F6" i="1"/>
  <c r="H6" i="1" s="1"/>
  <c r="F5" i="1"/>
  <c r="F4" i="1"/>
  <c r="H4" i="1" s="1"/>
  <c r="F3" i="1"/>
  <c r="H3" i="1" s="1"/>
  <c r="F2" i="1"/>
  <c r="H2" i="1" s="1"/>
  <c r="AA21" i="1" l="1"/>
  <c r="AA20" i="1"/>
  <c r="AB20" i="1" s="1"/>
  <c r="AA19" i="1"/>
  <c r="AA18" i="1"/>
  <c r="AA17" i="1"/>
  <c r="AA16" i="1"/>
  <c r="AB16" i="1" s="1"/>
  <c r="AA15" i="1"/>
  <c r="AA14" i="1"/>
  <c r="AA13" i="1"/>
  <c r="AA12" i="1"/>
  <c r="AB12" i="1" s="1"/>
  <c r="AA11" i="1"/>
  <c r="AA10" i="1"/>
  <c r="AA9" i="1"/>
  <c r="AA8" i="1"/>
  <c r="AB8" i="1" s="1"/>
  <c r="AA7" i="1"/>
  <c r="AA6" i="1"/>
  <c r="AA5" i="1"/>
  <c r="AA4" i="1"/>
  <c r="AB4" i="1" s="1"/>
  <c r="AA3" i="1"/>
  <c r="AA2" i="1"/>
  <c r="AE9" i="1"/>
  <c r="AB3" i="1" l="1"/>
  <c r="AB2" i="1"/>
  <c r="AB6" i="1"/>
  <c r="AB10" i="1"/>
  <c r="AB14" i="1"/>
  <c r="AB18" i="1"/>
  <c r="AB7" i="1"/>
  <c r="AB11" i="1"/>
  <c r="AB15" i="1"/>
  <c r="AB19" i="1"/>
  <c r="AB5" i="1"/>
  <c r="AB9" i="1"/>
  <c r="AB13" i="1"/>
  <c r="AB17" i="1"/>
  <c r="AB21" i="1"/>
  <c r="I17" i="1"/>
  <c r="I18" i="1"/>
  <c r="I19" i="1"/>
  <c r="I20" i="1"/>
  <c r="I21" i="1"/>
  <c r="G17" i="1"/>
  <c r="G18" i="1"/>
  <c r="G19" i="1"/>
  <c r="G20" i="1"/>
  <c r="G21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2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22" i="1"/>
  <c r="I2" i="1"/>
  <c r="AE3" i="1" l="1"/>
  <c r="K12" i="1" s="1"/>
  <c r="K14" i="1" l="1"/>
  <c r="M12" i="1"/>
  <c r="K15" i="1"/>
  <c r="K13" i="1"/>
  <c r="K2" i="1"/>
  <c r="K22" i="1"/>
  <c r="K9" i="1"/>
  <c r="K17" i="1"/>
  <c r="K20" i="1"/>
  <c r="K18" i="1"/>
  <c r="K19" i="1"/>
  <c r="K21" i="1"/>
  <c r="K3" i="1"/>
  <c r="K16" i="1"/>
  <c r="K6" i="1"/>
  <c r="K7" i="1"/>
  <c r="K4" i="1"/>
  <c r="K5" i="1"/>
  <c r="K10" i="1"/>
  <c r="K11" i="1"/>
  <c r="K8" i="1"/>
  <c r="M14" i="1" l="1"/>
  <c r="X14" i="1" s="1"/>
  <c r="AC14" i="1" s="1"/>
  <c r="M16" i="1"/>
  <c r="M4" i="1"/>
  <c r="M20" i="1"/>
  <c r="M15" i="1"/>
  <c r="M21" i="1"/>
  <c r="M5" i="1"/>
  <c r="M18" i="1"/>
  <c r="M13" i="1"/>
  <c r="M8" i="1"/>
  <c r="M3" i="1"/>
  <c r="O12" i="1"/>
  <c r="X12" i="1"/>
  <c r="AC12" i="1" s="1"/>
  <c r="T12" i="1"/>
  <c r="M11" i="1"/>
  <c r="M7" i="1"/>
  <c r="M17" i="1"/>
  <c r="M22" i="1"/>
  <c r="M10" i="1"/>
  <c r="M6" i="1"/>
  <c r="M19" i="1"/>
  <c r="M9" i="1"/>
  <c r="M2" i="1"/>
  <c r="O14" i="1" l="1"/>
  <c r="T14" i="1"/>
  <c r="X7" i="1"/>
  <c r="AC7" i="1" s="1"/>
  <c r="T7" i="1"/>
  <c r="O7" i="1"/>
  <c r="X13" i="1"/>
  <c r="AC13" i="1" s="1"/>
  <c r="T13" i="1"/>
  <c r="O13" i="1"/>
  <c r="X2" i="1"/>
  <c r="AC2" i="1" s="1"/>
  <c r="T2" i="1"/>
  <c r="O2" i="1"/>
  <c r="X10" i="1"/>
  <c r="AC10" i="1" s="1"/>
  <c r="T10" i="1"/>
  <c r="O10" i="1"/>
  <c r="X17" i="1"/>
  <c r="AC17" i="1" s="1"/>
  <c r="T17" i="1"/>
  <c r="O17" i="1"/>
  <c r="O22" i="1"/>
  <c r="Q22" i="1" s="1"/>
  <c r="Q12" i="1"/>
  <c r="X3" i="1"/>
  <c r="AC3" i="1" s="1"/>
  <c r="T3" i="1"/>
  <c r="O3" i="1"/>
  <c r="Q3" i="1" s="1"/>
  <c r="X5" i="1"/>
  <c r="AC5" i="1" s="1"/>
  <c r="T5" i="1"/>
  <c r="O5" i="1"/>
  <c r="Q14" i="1"/>
  <c r="X4" i="1"/>
  <c r="AC4" i="1" s="1"/>
  <c r="O4" i="1"/>
  <c r="Q4" i="1" s="1"/>
  <c r="T4" i="1"/>
  <c r="X9" i="1"/>
  <c r="AC9" i="1" s="1"/>
  <c r="T9" i="1"/>
  <c r="O9" i="1"/>
  <c r="Q9" i="1" s="1"/>
  <c r="X15" i="1"/>
  <c r="AC15" i="1" s="1"/>
  <c r="T15" i="1"/>
  <c r="O15" i="1"/>
  <c r="O8" i="1"/>
  <c r="X8" i="1"/>
  <c r="AC8" i="1" s="1"/>
  <c r="T8" i="1"/>
  <c r="X21" i="1"/>
  <c r="AC21" i="1" s="1"/>
  <c r="T21" i="1"/>
  <c r="O21" i="1"/>
  <c r="O16" i="1"/>
  <c r="X16" i="1"/>
  <c r="AC16" i="1" s="1"/>
  <c r="T16" i="1"/>
  <c r="X6" i="1"/>
  <c r="AC6" i="1" s="1"/>
  <c r="T6" i="1"/>
  <c r="O6" i="1"/>
  <c r="X19" i="1"/>
  <c r="AC19" i="1" s="1"/>
  <c r="T19" i="1"/>
  <c r="O19" i="1"/>
  <c r="X11" i="1"/>
  <c r="AC11" i="1" s="1"/>
  <c r="T11" i="1"/>
  <c r="O11" i="1"/>
  <c r="X18" i="1"/>
  <c r="AC18" i="1" s="1"/>
  <c r="T18" i="1"/>
  <c r="O18" i="1"/>
  <c r="O20" i="1"/>
  <c r="X20" i="1"/>
  <c r="AC20" i="1" s="1"/>
  <c r="T20" i="1"/>
  <c r="V21" i="1" l="1"/>
  <c r="V19" i="1"/>
  <c r="V15" i="1"/>
  <c r="V5" i="1"/>
  <c r="V17" i="1"/>
  <c r="V10" i="1"/>
  <c r="V13" i="1"/>
  <c r="AC23" i="1"/>
  <c r="V11" i="1"/>
  <c r="V16" i="1"/>
  <c r="V18" i="1"/>
  <c r="Q11" i="1"/>
  <c r="Q17" i="1"/>
  <c r="Q2" i="1"/>
  <c r="V20" i="1"/>
  <c r="Q20" i="1"/>
  <c r="Q6" i="1"/>
  <c r="Q16" i="1"/>
  <c r="Q8" i="1"/>
  <c r="V3" i="1"/>
  <c r="V2" i="1"/>
  <c r="Q5" i="1"/>
  <c r="Q10" i="1"/>
  <c r="Q7" i="1"/>
  <c r="V9" i="1"/>
  <c r="V8" i="1"/>
  <c r="V12" i="1"/>
  <c r="Q18" i="1"/>
  <c r="V6" i="1"/>
  <c r="V14" i="1"/>
  <c r="V7" i="1"/>
  <c r="V4" i="1"/>
  <c r="Q19" i="1"/>
  <c r="Q21" i="1"/>
  <c r="Q15" i="1"/>
  <c r="Q13" i="1"/>
</calcChain>
</file>

<file path=xl/sharedStrings.xml><?xml version="1.0" encoding="utf-8"?>
<sst xmlns="http://schemas.openxmlformats.org/spreadsheetml/2006/main" count="55" uniqueCount="55">
  <si>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</si>
  <si>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</si>
  <si>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</si>
  <si>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</si>
  <si>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</si>
  <si>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</si>
  <si>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</si>
  <si>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</si>
  <si>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</si>
  <si>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</si>
  <si>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</si>
  <si>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Blk</t>
  </si>
  <si>
    <t>Weight Corrected Sr-90 Activity (DPM)</t>
  </si>
  <si>
    <t>Cumulative Activity (DPM)</t>
  </si>
  <si>
    <t>CT29 1 mL</t>
  </si>
  <si>
    <t>CT29 2 mL</t>
  </si>
  <si>
    <t>CT29 3 mL</t>
  </si>
  <si>
    <t>CT29 4 mL</t>
  </si>
  <si>
    <t>CT29 5 mL</t>
  </si>
  <si>
    <t>CT29 6 mL</t>
  </si>
  <si>
    <t>CT29 7 mL</t>
  </si>
  <si>
    <t>CT29 8 mL</t>
  </si>
  <si>
    <t>CT29 9 mL</t>
  </si>
  <si>
    <t>CT29 10 mL</t>
  </si>
  <si>
    <t>CT29 11 mL</t>
  </si>
  <si>
    <t>CT29 12 mL</t>
  </si>
  <si>
    <t>CT29 13 mL</t>
  </si>
  <si>
    <t>CT29 14 mL</t>
  </si>
  <si>
    <t>CT29 15 mL</t>
  </si>
  <si>
    <t>CT29 16 mL</t>
  </si>
  <si>
    <t>CT29 17 mL</t>
  </si>
  <si>
    <t>CT29 18 mL</t>
  </si>
  <si>
    <t>CT29 19 mL</t>
  </si>
  <si>
    <t>CT29 20 mL</t>
  </si>
  <si>
    <t>5 ml/min</t>
  </si>
  <si>
    <t>Decay constant of sr-90=</t>
  </si>
  <si>
    <t>DC factor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</si>
  <si>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</si>
  <si>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</si>
  <si>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</si>
  <si>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</si>
  <si>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</si>
  <si>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</si>
  <si>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</si>
  <si>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</t>
  </si>
  <si>
    <t>Weight of Eluate (g) σ</t>
  </si>
  <si>
    <t>Weight Corrected Sr-90 Activity (DPM) σ</t>
  </si>
  <si>
    <t>Cumulative Activity (DPM) σ</t>
  </si>
  <si>
    <t>Activity (bq)</t>
  </si>
  <si>
    <t>Activity (Bq) σ</t>
  </si>
  <si>
    <t>Activity (Bq) σ ^2</t>
  </si>
  <si>
    <t>Time from 05.06.2018</t>
  </si>
  <si>
    <t>DC to 05.06.2018</t>
  </si>
  <si>
    <t>σ</t>
  </si>
  <si>
    <t>Sr-90 activity recovered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</si>
</sst>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22" fontId="0" fillId="0" borderId="0" xfId="0" applyNumberFormat="1"/>
    <xf numFmtId="0" fontId="0" fillId="2" borderId="0" xfId="0" applyFill="1"/>
    <xf numFmtId="0" fontId="0" fillId="3" borderId="2" xfId="0" applyFill="1" applyBorder="1"/>
    <xf numFmtId="0" fontId="0" fillId="3" borderId="3" xfId="0" applyFill="1" applyBorder="1"/>
    <xf numFmtId="0" fontId="0" fillId="3" borderId="1" xfId="0" applyFill="1" applyBorder="1"/>
    <xf numFmtId="0" fontId="0" fillId="3" borderId="0" xfId="0" applyFill="1"/>
    <xf numFmtId="0" fontId="0" fillId="0" borderId="2" xfId="0" applyBorder="1"/>
    <xf numFmtId="0" fontId="0" fillId="0" borderId="4" xfId="0" applyBorder="1"/>
    <xf numFmtId="166" fontId="0" fillId="3" borderId="3" xfId="0" applyNumberFormat="1" applyFill="1" applyBorder="1"/>
    <xf numFmtId="166" fontId="0" fillId="3" borderId="1" xfId="0" applyNumberFormat="1" applyFill="1" applyBorder="1"/>
    <xf numFmtId="0" fontId="0" fillId="0" borderId="1" xfId="0" applyBorder="1"/>
    <xf numFmtId="0" fontId="1" fillId="0" borderId="0" xfId="0" applyFont="1"/>
    <xf numFmtId="22" fontId="0" fillId="0" borderId="1" xfId="0" applyNumberFormat="1" applyBorder="1"/>
    <xf numFmtId="2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3" xfId="0" applyBorder="1"/>
    <xf numFmtId="22" fontId="0" fillId="0" borderId="3" xfId="0" applyNumberFormat="1" applyBorder="1"/>
    <xf numFmtId="2" fontId="0" fillId="0" borderId="3" xfId="0" applyNumberFormat="1" applyBorder="1"/>
    <xf numFmtId="164" fontId="0" fillId="0" borderId="3" xfId="0" applyNumberFormat="1" applyBorder="1"/>
    <xf numFmtId="165" fontId="0" fillId="0" borderId="3" xfId="0" applyNumberFormat="1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zoomScale="70" zoomScaleNormal="70" workbookViewId="0">
      <selection activeCell="D31" sqref="D31"/>
    </sheetView>
  </sheetViews>
  <sheetFormatPr defaultRowHeight="15" x14ac:dyDescent="0.25"/>
  <cols>
    <col min="1" max="1" width="13.5703125" bestFit="1" customWidth="1"/>
    <col min="2" max="2" width="20.5703125" customWidth="1"/>
    <col min="3" max="3" width="18.140625" bestFit="1" customWidth="1"/>
    <col min="4" max="4" width="17.5703125" bestFit="1" customWidth="1"/>
    <col min="5" max="6" width="17.5703125" style="6" customWidth="1"/>
    <col min="7" max="7" width="31.5703125" bestFit="1" customWidth="1"/>
    <col min="8" max="8" width="31.5703125" customWidth="1"/>
    <col min="9" max="9" width="17.7109375" bestFit="1" customWidth="1"/>
    <col min="10" max="12" width="17.7109375" customWidth="1"/>
    <col min="13" max="13" width="12.140625" bestFit="1" customWidth="1"/>
    <col min="14" max="14" width="12.140625" customWidth="1"/>
    <col min="15" max="15" width="12.140625" bestFit="1" customWidth="1"/>
    <col min="16" max="16" width="12.140625" customWidth="1"/>
    <col min="17" max="17" width="12" bestFit="1" customWidth="1"/>
    <col min="18" max="18" width="19" bestFit="1" customWidth="1"/>
    <col min="19" max="19" width="19" customWidth="1"/>
    <col min="20" max="20" width="35.42578125" bestFit="1" customWidth="1"/>
    <col min="21" max="21" width="35.42578125" customWidth="1"/>
    <col min="22" max="22" width="24.7109375" bestFit="1" customWidth="1"/>
    <col min="23" max="30" width="24.7109375" customWidth="1"/>
    <col min="31" max="31" width="22.140625" bestFit="1" customWidth="1"/>
  </cols>
  <sheetData>
    <row r="1" spans="1:31" ht="15.75" thickBot="1" x14ac:dyDescent="0.3">
      <c r="A1" s="25" t="s">
        <v>3</v>
      </c>
      <c r="B1" s="22" t="s">
        <v>5</v>
      </c>
      <c r="C1" s="7" t="s">
        <v>4</v>
      </c>
      <c r="D1" s="7" t="s">
        <v>0</v>
      </c>
      <c r="E1" s="3" t="s">
        <v>37</v>
      </c>
      <c r="F1" s="3" t="s">
        <v>38</v>
      </c>
      <c r="G1" s="7" t="s">
        <v>10</v>
      </c>
      <c r="H1" s="3" t="s">
        <v>39</v>
      </c>
      <c r="I1" s="7" t="s">
        <v>1</v>
      </c>
      <c r="J1" s="3" t="s">
        <v>40</v>
      </c>
      <c r="K1" s="7" t="s">
        <v>6</v>
      </c>
      <c r="L1" s="3" t="s">
        <v>41</v>
      </c>
      <c r="M1" s="7" t="s">
        <v>7</v>
      </c>
      <c r="N1" s="3" t="s">
        <v>42</v>
      </c>
      <c r="O1" s="7" t="s">
        <v>8</v>
      </c>
      <c r="P1" s="3" t="s">
        <v>43</v>
      </c>
      <c r="Q1" s="7" t="s">
        <v>9</v>
      </c>
      <c r="R1" s="7" t="s">
        <v>44</v>
      </c>
      <c r="S1" s="3" t="s">
        <v>45</v>
      </c>
      <c r="T1" s="7" t="s">
        <v>12</v>
      </c>
      <c r="U1" s="3" t="s">
        <v>46</v>
      </c>
      <c r="V1" s="7" t="s">
        <v>13</v>
      </c>
      <c r="W1" s="3" t="s">
        <v>47</v>
      </c>
      <c r="X1" s="7" t="s">
        <v>48</v>
      </c>
      <c r="Y1" s="3" t="s">
        <v>49</v>
      </c>
      <c r="Z1" s="3" t="s">
        <v>50</v>
      </c>
      <c r="AA1" s="7" t="s">
        <v>51</v>
      </c>
      <c r="AB1" s="7" t="s">
        <v>36</v>
      </c>
      <c r="AC1" s="8" t="s">
        <v>52</v>
      </c>
    </row>
    <row r="2" spans="1:31" x14ac:dyDescent="0.25">
      <c r="A2" s="26" t="s">
        <v>14</v>
      </c>
      <c r="B2" s="23">
        <v>43327.691666666666</v>
      </c>
      <c r="C2" s="18">
        <v>43332.565972222219</v>
      </c>
      <c r="D2" s="19">
        <v>9.07</v>
      </c>
      <c r="E2" s="4">
        <v>6.13</v>
      </c>
      <c r="F2" s="4">
        <f>D2*(E2/100)</f>
        <v>0.55599100000000001</v>
      </c>
      <c r="G2" s="17">
        <f t="shared" ref="G2:G22" si="0">D2-$D$22</f>
        <v>1.1600000000000001</v>
      </c>
      <c r="H2" s="4">
        <f>SQRT((F2^2)+(F$17^2))</f>
        <v>0.92735715088093229</v>
      </c>
      <c r="I2" s="20">
        <f>(C2-B2)*24</f>
        <v>116.98333333327901</v>
      </c>
      <c r="J2" s="9">
        <f>1/60</f>
        <v>1.6666666666666666E-2</v>
      </c>
      <c r="K2" s="17">
        <f>1-EXP(-$AE$3*I2)</f>
        <v>0.73303287797642869</v>
      </c>
      <c r="L2" s="4">
        <f>K2*SQRT(((J2/I2)^2))</f>
        <v>1.0443551474238055E-4</v>
      </c>
      <c r="M2" s="17">
        <f>G2/((1+K2))</f>
        <v>0.66934679355562554</v>
      </c>
      <c r="N2" s="4">
        <f t="shared" ref="N2:N22" si="1">M2*SQRT(((H2/G2)^2)+((L2/K2)^2))</f>
        <v>0.53510650455165232</v>
      </c>
      <c r="O2" s="17">
        <f>M2*K2</f>
        <v>0.49065320644437466</v>
      </c>
      <c r="P2" s="4">
        <f t="shared" ref="P2:P22" si="2">O2*SQRT(((N2/M2)^2)+((L2/K2)^2))</f>
        <v>0.39225066728421509</v>
      </c>
      <c r="Q2" s="17">
        <f>M2+O2</f>
        <v>1.1600000000000001</v>
      </c>
      <c r="R2" s="17">
        <v>0.84600000000000009</v>
      </c>
      <c r="S2" s="4">
        <v>1.4142135623730951E-4</v>
      </c>
      <c r="T2" s="17">
        <f>M2/R2</f>
        <v>0.7911900633045218</v>
      </c>
      <c r="U2" s="4">
        <f>T2*SQRT(((S2/R2)^2)+((N2/M2)^2))</f>
        <v>0.63251361258855332</v>
      </c>
      <c r="V2" s="17">
        <f>SUM($T$2:T2)</f>
        <v>0.7911900633045218</v>
      </c>
      <c r="W2" s="4">
        <f>SQRT((U2^2))</f>
        <v>0.63251361258855332</v>
      </c>
      <c r="X2" s="17">
        <f>M2/60</f>
        <v>1.1155779892593759E-2</v>
      </c>
      <c r="Y2" s="4">
        <f>X2*SQRT(((N2/M2)^2))</f>
        <v>8.9184417425275386E-3</v>
      </c>
      <c r="Z2" s="4">
        <f>Y2^2</f>
        <v>7.953860311485764E-5</v>
      </c>
      <c r="AA2" s="17">
        <f>(C2-$AE$6)*24</f>
        <v>145.58333333325572</v>
      </c>
      <c r="AB2" s="21">
        <f>EXP(-$AE$9*AA2)</f>
        <v>0.99960009790994397</v>
      </c>
      <c r="AC2" s="17">
        <f>X2/AB2</f>
        <v>1.1160242897053823E-2</v>
      </c>
      <c r="AE2" t="s">
        <v>2</v>
      </c>
    </row>
    <row r="3" spans="1:31" x14ac:dyDescent="0.25">
      <c r="A3" s="27" t="s">
        <v>15</v>
      </c>
      <c r="B3" s="24">
        <v>43327.691805555558</v>
      </c>
      <c r="C3" s="13">
        <v>43332.588888888888</v>
      </c>
      <c r="D3" s="14">
        <v>8.66</v>
      </c>
      <c r="E3" s="5">
        <v>6.27</v>
      </c>
      <c r="F3" s="5">
        <f t="shared" ref="F3:F22" si="3">D3*(E3/100)</f>
        <v>0.54298199999999996</v>
      </c>
      <c r="G3" s="11">
        <f t="shared" si="0"/>
        <v>0.75</v>
      </c>
      <c r="H3" s="5">
        <f>SQRT((F3^2)+(F$17^2))</f>
        <v>0.91961662965226987</v>
      </c>
      <c r="I3" s="15">
        <f t="shared" ref="I3:I21" si="4">(C3-B3)*24</f>
        <v>117.52999999991152</v>
      </c>
      <c r="J3" s="10">
        <f t="shared" ref="J3:J22" si="5">1/60</f>
        <v>1.6666666666666666E-2</v>
      </c>
      <c r="K3" s="11">
        <f>1-EXP(-$AE$3*I3)</f>
        <v>0.73467535030666387</v>
      </c>
      <c r="L3" s="5">
        <f t="shared" ref="L3:L22" si="6">K3*SQRT(((J3/I3)^2))</f>
        <v>1.0418266971655703E-4</v>
      </c>
      <c r="M3" s="11">
        <f>G3/((1+K3))</f>
        <v>0.43235755893309463</v>
      </c>
      <c r="N3" s="5">
        <f t="shared" si="1"/>
        <v>0.53013760507973218</v>
      </c>
      <c r="O3" s="11">
        <f>M3*K3</f>
        <v>0.31764244106690537</v>
      </c>
      <c r="P3" s="5">
        <f t="shared" si="2"/>
        <v>0.38947903332741979</v>
      </c>
      <c r="Q3" s="11">
        <f t="shared" ref="Q3:Q22" si="7">M3+O3</f>
        <v>0.75</v>
      </c>
      <c r="R3" s="11">
        <v>1.0644</v>
      </c>
      <c r="S3" s="5">
        <v>1.4142135623730951E-4</v>
      </c>
      <c r="T3" s="11">
        <f>M3/R3</f>
        <v>0.40619838306378675</v>
      </c>
      <c r="U3" s="5">
        <f t="shared" ref="U3:U22" si="8">T3*SQRT(((S3/R3)^2)+((N3/M3)^2))</f>
        <v>0.49806239025937371</v>
      </c>
      <c r="V3" s="11">
        <f>SUM($T$2:T3)</f>
        <v>1.1973884463683087</v>
      </c>
      <c r="W3" s="5">
        <f>SQRT((U3^2)+(U2^2))</f>
        <v>0.80507118610760331</v>
      </c>
      <c r="X3" s="11">
        <f t="shared" ref="X3:X21" si="9">M3/60</f>
        <v>7.2059593155515776E-3</v>
      </c>
      <c r="Y3" s="5">
        <f t="shared" ref="Y3:Y16" si="10">X3*SQRT(((N3/M3)^2))</f>
        <v>8.8356267513288698E-3</v>
      </c>
      <c r="Z3" s="5">
        <f t="shared" ref="Z3:Z16" si="11">Y3^2</f>
        <v>7.8068300088798359E-5</v>
      </c>
      <c r="AA3" s="11">
        <f>(C3-$AE$6)*24</f>
        <v>146.13333333330229</v>
      </c>
      <c r="AB3" s="16">
        <f t="shared" ref="AB3:AB21" si="12">EXP(-$AE$9*AA3)</f>
        <v>0.99959858742111229</v>
      </c>
      <c r="AC3" s="11">
        <f t="shared" ref="AC3:AC21" si="13">X3/AB3</f>
        <v>7.2088530398411229E-3</v>
      </c>
      <c r="AE3">
        <f>LN(2)/61.4</f>
        <v>1.1289042028663604E-2</v>
      </c>
    </row>
    <row r="4" spans="1:31" x14ac:dyDescent="0.25">
      <c r="A4" s="27" t="s">
        <v>16</v>
      </c>
      <c r="B4" s="24">
        <v>43327.691944444443</v>
      </c>
      <c r="C4" s="13">
        <v>43332.611805497683</v>
      </c>
      <c r="D4" s="14">
        <v>9.34</v>
      </c>
      <c r="E4" s="5">
        <v>6.04</v>
      </c>
      <c r="F4" s="5">
        <f t="shared" si="3"/>
        <v>0.56413599999999997</v>
      </c>
      <c r="G4" s="11">
        <f t="shared" si="0"/>
        <v>1.4299999999999997</v>
      </c>
      <c r="H4" s="5">
        <f t="shared" ref="H4:H17" si="14">SQRT((F4^2)+(F$17^2))</f>
        <v>0.93226322447310994</v>
      </c>
      <c r="I4" s="15">
        <f t="shared" si="4"/>
        <v>118.07666527776746</v>
      </c>
      <c r="J4" s="10">
        <f t="shared" si="5"/>
        <v>1.6666666666666666E-2</v>
      </c>
      <c r="K4" s="11">
        <f>1-EXP(-$AE$3*I4)</f>
        <v>0.73630771345559243</v>
      </c>
      <c r="L4" s="5">
        <f t="shared" si="6"/>
        <v>1.0393074021349853E-4</v>
      </c>
      <c r="M4" s="11">
        <f>G4/((1+K4))</f>
        <v>0.82358673460824505</v>
      </c>
      <c r="N4" s="5">
        <f t="shared" si="1"/>
        <v>0.5369228271576364</v>
      </c>
      <c r="O4" s="11">
        <f>M4*K4</f>
        <v>0.60641326539175477</v>
      </c>
      <c r="P4" s="5">
        <f t="shared" si="2"/>
        <v>0.3953404284328334</v>
      </c>
      <c r="Q4" s="11">
        <f t="shared" si="7"/>
        <v>1.4299999999999997</v>
      </c>
      <c r="R4" s="11">
        <v>1.0461999999999998</v>
      </c>
      <c r="S4" s="5">
        <v>1.4142135623730951E-4</v>
      </c>
      <c r="T4" s="11">
        <f>M4/R4</f>
        <v>0.78721729555366582</v>
      </c>
      <c r="U4" s="5">
        <f t="shared" si="8"/>
        <v>0.51321242467935235</v>
      </c>
      <c r="V4" s="11">
        <f>SUM($T$2:T4)</f>
        <v>1.9846057419219745</v>
      </c>
      <c r="W4" s="5">
        <f>SQRT((U4^2)+(U3^2)+(U2^2))</f>
        <v>0.95473902588401782</v>
      </c>
      <c r="X4" s="11">
        <f t="shared" si="9"/>
        <v>1.3726445576804084E-2</v>
      </c>
      <c r="Y4" s="5">
        <f t="shared" si="10"/>
        <v>8.9487137859606061E-3</v>
      </c>
      <c r="Z4" s="5">
        <f t="shared" si="11"/>
        <v>8.0079478423041408E-5</v>
      </c>
      <c r="AA4" s="11">
        <f>(C4-$AE$6)*24</f>
        <v>146.68333194439765</v>
      </c>
      <c r="AB4" s="16">
        <f t="shared" si="12"/>
        <v>0.99959707693837763</v>
      </c>
      <c r="AC4" s="11">
        <f t="shared" si="13"/>
        <v>1.3731978507626509E-2</v>
      </c>
    </row>
    <row r="5" spans="1:31" x14ac:dyDescent="0.25">
      <c r="A5" s="27" t="s">
        <v>17</v>
      </c>
      <c r="B5" s="24">
        <v>43327.692083449074</v>
      </c>
      <c r="C5" s="13">
        <v>43332.634722164352</v>
      </c>
      <c r="D5" s="14">
        <v>11.02</v>
      </c>
      <c r="E5" s="5">
        <v>5.56</v>
      </c>
      <c r="F5" s="5">
        <f t="shared" si="3"/>
        <v>0.61271199999999992</v>
      </c>
      <c r="G5" s="11">
        <f t="shared" si="0"/>
        <v>3.1099999999999994</v>
      </c>
      <c r="H5" s="5">
        <f t="shared" si="14"/>
        <v>0.96243508256557231</v>
      </c>
      <c r="I5" s="15">
        <f t="shared" si="4"/>
        <v>118.62332916667219</v>
      </c>
      <c r="J5" s="10">
        <f t="shared" si="5"/>
        <v>1.6666666666666666E-2</v>
      </c>
      <c r="K5" s="11">
        <f>1-EXP(-$AE$3*I5)</f>
        <v>0.73793002966868126</v>
      </c>
      <c r="L5" s="5">
        <f t="shared" si="6"/>
        <v>1.0367972231272339E-4</v>
      </c>
      <c r="M5" s="11">
        <f>G5/((1+K5))</f>
        <v>1.7894851616050902</v>
      </c>
      <c r="N5" s="5">
        <f t="shared" si="1"/>
        <v>0.5537824684121716</v>
      </c>
      <c r="O5" s="11">
        <f>M5*K5</f>
        <v>1.320514838394909</v>
      </c>
      <c r="P5" s="5">
        <f t="shared" si="2"/>
        <v>0.40865275546258534</v>
      </c>
      <c r="Q5" s="11">
        <f t="shared" si="7"/>
        <v>3.1099999999999994</v>
      </c>
      <c r="R5" s="11">
        <v>0.89569999999999972</v>
      </c>
      <c r="S5" s="5">
        <v>1.4142135623730951E-4</v>
      </c>
      <c r="T5" s="11">
        <f>M5/R5</f>
        <v>1.9978621877917726</v>
      </c>
      <c r="U5" s="5">
        <f t="shared" si="8"/>
        <v>0.618267880415722</v>
      </c>
      <c r="V5" s="11">
        <f>SUM($T$2:T5)</f>
        <v>3.9824679297137471</v>
      </c>
      <c r="W5" s="5">
        <f>SQRT((U5^2)+(U4^2)+(U3^2)+(U2^2))</f>
        <v>1.1374452863763218</v>
      </c>
      <c r="X5" s="11">
        <f t="shared" si="9"/>
        <v>2.982475269341817E-2</v>
      </c>
      <c r="Y5" s="5">
        <f t="shared" si="10"/>
        <v>9.229707806869528E-3</v>
      </c>
      <c r="Z5" s="5">
        <f t="shared" si="11"/>
        <v>8.5187506200188316E-5</v>
      </c>
      <c r="AA5" s="11">
        <f>(C5-$AE$6)*24</f>
        <v>147.23333194444422</v>
      </c>
      <c r="AB5" s="16">
        <f t="shared" si="12"/>
        <v>0.99959556645411096</v>
      </c>
      <c r="AC5" s="11">
        <f t="shared" si="13"/>
        <v>2.9836819704209195E-2</v>
      </c>
    </row>
    <row r="6" spans="1:31" x14ac:dyDescent="0.25">
      <c r="A6" s="27" t="s">
        <v>18</v>
      </c>
      <c r="B6" s="24">
        <v>43327.692222395832</v>
      </c>
      <c r="C6" s="13">
        <v>43332.65763883102</v>
      </c>
      <c r="D6" s="14">
        <v>79.36</v>
      </c>
      <c r="E6" s="5">
        <v>2.0699999999999998</v>
      </c>
      <c r="F6" s="5">
        <f t="shared" si="3"/>
        <v>1.642752</v>
      </c>
      <c r="G6" s="11">
        <f t="shared" si="0"/>
        <v>71.45</v>
      </c>
      <c r="H6" s="5">
        <f t="shared" si="14"/>
        <v>1.8026367983354274</v>
      </c>
      <c r="I6" s="15">
        <f t="shared" si="4"/>
        <v>119.16999444452813</v>
      </c>
      <c r="J6" s="10">
        <f t="shared" si="5"/>
        <v>1.6666666666666666E-2</v>
      </c>
      <c r="K6" s="11">
        <f>1-EXP(-$AE$3*I6)</f>
        <v>0.73954236897640901</v>
      </c>
      <c r="L6" s="5">
        <f t="shared" si="6"/>
        <v>1.0342961084339273E-4</v>
      </c>
      <c r="M6" s="11">
        <f>G6/((1+K6))</f>
        <v>41.074021118579019</v>
      </c>
      <c r="N6" s="5">
        <f t="shared" si="1"/>
        <v>1.0362866275012297</v>
      </c>
      <c r="O6" s="11">
        <f>M6*K6</f>
        <v>30.375978881420981</v>
      </c>
      <c r="P6" s="5">
        <f t="shared" si="2"/>
        <v>0.76638964208901084</v>
      </c>
      <c r="Q6" s="11">
        <f t="shared" si="7"/>
        <v>71.45</v>
      </c>
      <c r="R6" s="11">
        <v>0.86160000000000014</v>
      </c>
      <c r="S6" s="5">
        <v>1.4142135623730951E-4</v>
      </c>
      <c r="T6" s="11">
        <f>M6/R6</f>
        <v>47.671797955639519</v>
      </c>
      <c r="U6" s="5">
        <f t="shared" si="8"/>
        <v>1.2027722347937955</v>
      </c>
      <c r="V6" s="11">
        <f>SUM($T$2:T6)</f>
        <v>51.654265885353269</v>
      </c>
      <c r="W6" s="5">
        <f>SQRT((U6^2)+(U5^2)+(U4^2)+(U3^2)+(U2^2))</f>
        <v>1.6554282914975731</v>
      </c>
      <c r="X6" s="11">
        <f t="shared" si="9"/>
        <v>0.68456701864298364</v>
      </c>
      <c r="Y6" s="5">
        <f t="shared" si="10"/>
        <v>1.7271443791687161E-2</v>
      </c>
      <c r="Z6" s="5">
        <f t="shared" si="11"/>
        <v>2.98302770649409E-4</v>
      </c>
      <c r="AA6" s="11">
        <f>(C6-$AE$6)*24</f>
        <v>147.78333194449078</v>
      </c>
      <c r="AB6" s="16">
        <f t="shared" si="12"/>
        <v>0.9995940559721268</v>
      </c>
      <c r="AC6" s="11">
        <f t="shared" si="13"/>
        <v>0.68484502739187203</v>
      </c>
      <c r="AE6" s="1">
        <v>43326.5</v>
      </c>
    </row>
    <row r="7" spans="1:31" x14ac:dyDescent="0.25">
      <c r="A7" s="27" t="s">
        <v>19</v>
      </c>
      <c r="B7" s="24">
        <v>43327.69236134259</v>
      </c>
      <c r="C7" s="13">
        <v>43332.680555497682</v>
      </c>
      <c r="D7" s="14">
        <v>201.37</v>
      </c>
      <c r="E7" s="5">
        <v>1.3</v>
      </c>
      <c r="F7" s="5">
        <f t="shared" si="3"/>
        <v>2.6178100000000004</v>
      </c>
      <c r="G7" s="11">
        <f t="shared" si="0"/>
        <v>193.46</v>
      </c>
      <c r="H7" s="5">
        <f t="shared" si="14"/>
        <v>2.7209914533693418</v>
      </c>
      <c r="I7" s="15">
        <f t="shared" si="4"/>
        <v>119.71665972220944</v>
      </c>
      <c r="J7" s="10">
        <f t="shared" si="5"/>
        <v>1.6666666666666666E-2</v>
      </c>
      <c r="K7" s="11">
        <f>1-EXP(-$AE$3*I7)</f>
        <v>0.74114478865017919</v>
      </c>
      <c r="L7" s="5">
        <f t="shared" si="6"/>
        <v>1.0318040256746383E-4</v>
      </c>
      <c r="M7" s="11">
        <f>G7/((1+K7))</f>
        <v>111.11080552351977</v>
      </c>
      <c r="N7" s="5">
        <f t="shared" si="1"/>
        <v>1.5628365674903832</v>
      </c>
      <c r="O7" s="11">
        <f>M7*K7</f>
        <v>82.349194476480221</v>
      </c>
      <c r="P7" s="5">
        <f t="shared" si="2"/>
        <v>1.1583449123393892</v>
      </c>
      <c r="Q7" s="11">
        <f t="shared" si="7"/>
        <v>193.45999999999998</v>
      </c>
      <c r="R7" s="11">
        <v>0.80560000000000009</v>
      </c>
      <c r="S7" s="5">
        <v>1.4142135623730951E-4</v>
      </c>
      <c r="T7" s="11">
        <f>M7/R7</f>
        <v>137.92304558530259</v>
      </c>
      <c r="U7" s="5">
        <f t="shared" si="8"/>
        <v>1.9401170335620992</v>
      </c>
      <c r="V7" s="11">
        <f>SUM($T$2:T7)</f>
        <v>189.57731147065584</v>
      </c>
      <c r="W7" s="5">
        <f>SQRT((U7^2)+(U6^2)+(U5^2)+(U4^2)+(U3^2)+(U2^2))</f>
        <v>2.5503915252777114</v>
      </c>
      <c r="X7" s="11">
        <f t="shared" si="9"/>
        <v>1.8518467587253296</v>
      </c>
      <c r="Y7" s="5">
        <f t="shared" si="10"/>
        <v>2.604727612483972E-2</v>
      </c>
      <c r="Z7" s="5">
        <f t="shared" si="11"/>
        <v>6.7846059352364525E-4</v>
      </c>
      <c r="AA7" s="11">
        <f>(C7-$AE$6)*24</f>
        <v>148.33333194436273</v>
      </c>
      <c r="AB7" s="16">
        <f t="shared" si="12"/>
        <v>0.99959254549242549</v>
      </c>
      <c r="AC7" s="11">
        <f t="shared" si="13"/>
        <v>1.8526016096019016</v>
      </c>
    </row>
    <row r="8" spans="1:31" x14ac:dyDescent="0.25">
      <c r="A8" s="27" t="s">
        <v>20</v>
      </c>
      <c r="B8" s="24">
        <v>43327.692500289355</v>
      </c>
      <c r="C8" s="13">
        <v>43332.70347216435</v>
      </c>
      <c r="D8" s="14">
        <v>223.18</v>
      </c>
      <c r="E8" s="5">
        <v>1.24</v>
      </c>
      <c r="F8" s="5">
        <f t="shared" si="3"/>
        <v>2.7674319999999999</v>
      </c>
      <c r="G8" s="11">
        <f t="shared" si="0"/>
        <v>215.27</v>
      </c>
      <c r="H8" s="5">
        <f t="shared" si="14"/>
        <v>2.8652303865192059</v>
      </c>
      <c r="I8" s="15">
        <f t="shared" si="4"/>
        <v>120.26332499989076</v>
      </c>
      <c r="J8" s="10">
        <f t="shared" si="5"/>
        <v>1.6666666666666666E-2</v>
      </c>
      <c r="K8" s="11">
        <f>1-EXP(-$AE$3*I8)</f>
        <v>0.74273734971930483</v>
      </c>
      <c r="L8" s="5">
        <f t="shared" si="6"/>
        <v>1.0293209362593563E-4</v>
      </c>
      <c r="M8" s="11">
        <f>G8/((1+K8))</f>
        <v>123.52406404480435</v>
      </c>
      <c r="N8" s="5">
        <f t="shared" si="1"/>
        <v>1.6441867709103242</v>
      </c>
      <c r="O8" s="11">
        <f>M8*K8</f>
        <v>91.745935955195648</v>
      </c>
      <c r="P8" s="5">
        <f t="shared" si="2"/>
        <v>1.2212651122610974</v>
      </c>
      <c r="Q8" s="11">
        <f t="shared" si="7"/>
        <v>215.26999999999998</v>
      </c>
      <c r="R8" s="11">
        <v>0.84999999999999964</v>
      </c>
      <c r="S8" s="5">
        <v>1.4142135623730951E-4</v>
      </c>
      <c r="T8" s="11">
        <f>M8/R8</f>
        <v>145.32242828800517</v>
      </c>
      <c r="U8" s="5">
        <f t="shared" si="8"/>
        <v>1.9344884823395068</v>
      </c>
      <c r="V8" s="11">
        <f>SUM($T$2:T8)</f>
        <v>334.89973975866098</v>
      </c>
      <c r="W8" s="5">
        <f>SQRT((U8^2)+(U7^2)+(U6^2)+(U5^2)+(U4^2)+(U3^2)+(U2^2))</f>
        <v>3.2010533610848446</v>
      </c>
      <c r="X8" s="11">
        <f t="shared" si="9"/>
        <v>2.0587344007467392</v>
      </c>
      <c r="Y8" s="5">
        <f t="shared" si="10"/>
        <v>2.7403112848505402E-2</v>
      </c>
      <c r="Z8" s="5">
        <f t="shared" si="11"/>
        <v>7.5093059378792185E-4</v>
      </c>
      <c r="AA8" s="11">
        <f>(C8-$AE$6)*24</f>
        <v>148.88333194440929</v>
      </c>
      <c r="AB8" s="16">
        <f t="shared" si="12"/>
        <v>0.99959103501500624</v>
      </c>
      <c r="AC8" s="11">
        <f t="shared" si="13"/>
        <v>2.0595766954991075</v>
      </c>
      <c r="AE8" t="s">
        <v>35</v>
      </c>
    </row>
    <row r="9" spans="1:31" x14ac:dyDescent="0.25">
      <c r="A9" s="27" t="s">
        <v>21</v>
      </c>
      <c r="B9" s="24">
        <v>43327.692639236113</v>
      </c>
      <c r="C9" s="13">
        <v>43332.726388831019</v>
      </c>
      <c r="D9" s="14">
        <v>178.75</v>
      </c>
      <c r="E9" s="5">
        <v>1.38</v>
      </c>
      <c r="F9" s="5">
        <f t="shared" si="3"/>
        <v>2.4667499999999998</v>
      </c>
      <c r="G9" s="11">
        <f t="shared" si="0"/>
        <v>170.84</v>
      </c>
      <c r="H9" s="5">
        <f t="shared" si="14"/>
        <v>2.575989296505131</v>
      </c>
      <c r="I9" s="15">
        <f t="shared" si="4"/>
        <v>120.80999027774669</v>
      </c>
      <c r="J9" s="10">
        <f t="shared" si="5"/>
        <v>1.6666666666666666E-2</v>
      </c>
      <c r="K9" s="11">
        <f>1-EXP(-$AE$3*I9)</f>
        <v>0.74432011283761779</v>
      </c>
      <c r="L9" s="5">
        <f t="shared" si="6"/>
        <v>1.0268468017785587E-4</v>
      </c>
      <c r="M9" s="11">
        <f>G9/((1+K9))</f>
        <v>97.940738481815487</v>
      </c>
      <c r="N9" s="5">
        <f t="shared" si="1"/>
        <v>1.476848827621152</v>
      </c>
      <c r="O9" s="11">
        <f>M9*K9</f>
        <v>72.899261518184517</v>
      </c>
      <c r="P9" s="5">
        <f t="shared" si="2"/>
        <v>1.0992942908223258</v>
      </c>
      <c r="Q9" s="11">
        <f t="shared" si="7"/>
        <v>170.84</v>
      </c>
      <c r="R9" s="11">
        <v>0.81859999999999999</v>
      </c>
      <c r="S9" s="5">
        <v>1.4142135623730951E-4</v>
      </c>
      <c r="T9" s="11">
        <f>M9/R9</f>
        <v>119.64419555560163</v>
      </c>
      <c r="U9" s="5">
        <f t="shared" si="8"/>
        <v>1.804233755177618</v>
      </c>
      <c r="V9" s="11">
        <f>SUM($T$2:T9)</f>
        <v>454.54393531426263</v>
      </c>
      <c r="W9" s="5">
        <f>SQRT((U9^2)+(U8^2)+(U7^2)+(U6^2)+(U5^2)+(U4^2)+(U3^2)+(U2^2))</f>
        <v>3.6745070504538306</v>
      </c>
      <c r="X9" s="11">
        <f t="shared" si="9"/>
        <v>1.6323456413635915</v>
      </c>
      <c r="Y9" s="5">
        <f t="shared" si="10"/>
        <v>2.46141471270192E-2</v>
      </c>
      <c r="Z9" s="5">
        <f t="shared" si="11"/>
        <v>6.0585623879054755E-4</v>
      </c>
      <c r="AA9" s="11">
        <f>(C9-$AE$6)*24</f>
        <v>149.43333194445586</v>
      </c>
      <c r="AB9" s="16">
        <f t="shared" si="12"/>
        <v>0.99958952453986949</v>
      </c>
      <c r="AC9" s="11">
        <f t="shared" si="13"/>
        <v>1.6330159543388492</v>
      </c>
      <c r="AE9">
        <f>LN(2)/252288</f>
        <v>2.7474441137110973E-6</v>
      </c>
    </row>
    <row r="10" spans="1:31" x14ac:dyDescent="0.25">
      <c r="A10" s="27" t="s">
        <v>22</v>
      </c>
      <c r="B10" s="24">
        <v>43327.692778182871</v>
      </c>
      <c r="C10" s="13">
        <v>43332.749305497688</v>
      </c>
      <c r="D10" s="14">
        <v>138.49</v>
      </c>
      <c r="E10" s="5">
        <v>1.57</v>
      </c>
      <c r="F10" s="5">
        <f t="shared" si="3"/>
        <v>2.1742930000000005</v>
      </c>
      <c r="G10" s="11">
        <f t="shared" si="0"/>
        <v>130.58000000000001</v>
      </c>
      <c r="H10" s="5">
        <f t="shared" si="14"/>
        <v>2.2974802160319037</v>
      </c>
      <c r="I10" s="15">
        <f t="shared" si="4"/>
        <v>121.35665555560263</v>
      </c>
      <c r="J10" s="10">
        <f t="shared" si="5"/>
        <v>1.6666666666666666E-2</v>
      </c>
      <c r="K10" s="11">
        <f>1-EXP(-$AE$3*I10)</f>
        <v>0.74589313828477666</v>
      </c>
      <c r="L10" s="5">
        <f t="shared" si="6"/>
        <v>1.0243815840038906E-4</v>
      </c>
      <c r="M10" s="11">
        <f>G10/((1+K10))</f>
        <v>74.792664646294526</v>
      </c>
      <c r="N10" s="5">
        <f t="shared" si="1"/>
        <v>1.3159741312502993</v>
      </c>
      <c r="O10" s="11">
        <f>M10*K10</f>
        <v>55.787335353705487</v>
      </c>
      <c r="P10" s="5">
        <f t="shared" si="2"/>
        <v>0.9816059753327897</v>
      </c>
      <c r="Q10" s="11">
        <f t="shared" si="7"/>
        <v>130.58000000000001</v>
      </c>
      <c r="R10" s="11">
        <v>0.85289999999999999</v>
      </c>
      <c r="S10" s="5">
        <v>1.4142135623730951E-4</v>
      </c>
      <c r="T10" s="11">
        <f>M10/R10</f>
        <v>87.692185070107314</v>
      </c>
      <c r="U10" s="5">
        <f t="shared" si="8"/>
        <v>1.5430092216426714</v>
      </c>
      <c r="V10" s="11">
        <f>SUM($T$2:T10)</f>
        <v>542.23612038437</v>
      </c>
      <c r="W10" s="5">
        <f>SQRT((U10^2)+(U9^2)+(U8^2)+(U7^2)+(U6^2)+(U5^2)+(U4^2)+(U3^2)+(U2^2))</f>
        <v>3.9853330503120108</v>
      </c>
      <c r="X10" s="11">
        <f t="shared" si="9"/>
        <v>1.2465444107715755</v>
      </c>
      <c r="Y10" s="5">
        <f t="shared" si="10"/>
        <v>2.1932902187504988E-2</v>
      </c>
      <c r="Z10" s="5">
        <f t="shared" si="11"/>
        <v>4.8105219836666108E-4</v>
      </c>
      <c r="AA10" s="11">
        <f>(C10-$AE$6)*24</f>
        <v>149.98333194450242</v>
      </c>
      <c r="AB10" s="16">
        <f t="shared" si="12"/>
        <v>0.99958801406701514</v>
      </c>
      <c r="AC10" s="11">
        <f t="shared" si="13"/>
        <v>1.2470581811998436</v>
      </c>
    </row>
    <row r="11" spans="1:31" x14ac:dyDescent="0.25">
      <c r="A11" s="27" t="s">
        <v>23</v>
      </c>
      <c r="B11" s="24">
        <v>43327.692917129629</v>
      </c>
      <c r="C11" s="13">
        <v>43332.770833333336</v>
      </c>
      <c r="D11" s="14">
        <v>95.33</v>
      </c>
      <c r="E11" s="5">
        <v>1.89</v>
      </c>
      <c r="F11" s="5">
        <f t="shared" si="3"/>
        <v>1.8017369999999999</v>
      </c>
      <c r="G11" s="11">
        <f t="shared" si="0"/>
        <v>87.42</v>
      </c>
      <c r="H11" s="5">
        <f t="shared" si="14"/>
        <v>1.9486204120808137</v>
      </c>
      <c r="I11" s="15">
        <f t="shared" si="4"/>
        <v>121.86998888896778</v>
      </c>
      <c r="J11" s="10">
        <f t="shared" si="5"/>
        <v>1.6666666666666666E-2</v>
      </c>
      <c r="K11" s="11">
        <f>1-EXP(-$AE$3*I11)</f>
        <v>0.74736143957032963</v>
      </c>
      <c r="L11" s="5">
        <f t="shared" si="6"/>
        <v>1.0220747623261991E-4</v>
      </c>
      <c r="M11" s="11">
        <f>G11/((1+K11))</f>
        <v>50.029717962356024</v>
      </c>
      <c r="N11" s="5">
        <f t="shared" si="1"/>
        <v>1.115199776333861</v>
      </c>
      <c r="O11" s="11">
        <f>M11*K11</f>
        <v>37.390282037643978</v>
      </c>
      <c r="P11" s="5">
        <f t="shared" si="2"/>
        <v>0.83347299595267987</v>
      </c>
      <c r="Q11" s="11">
        <f t="shared" si="7"/>
        <v>87.42</v>
      </c>
      <c r="R11" s="11">
        <v>0.79710000000000036</v>
      </c>
      <c r="S11" s="5">
        <v>1.4142135623730951E-4</v>
      </c>
      <c r="T11" s="11">
        <f>M11/R11</f>
        <v>62.764669379445493</v>
      </c>
      <c r="U11" s="5">
        <f t="shared" si="8"/>
        <v>1.3991156698285383</v>
      </c>
      <c r="V11" s="11">
        <f>SUM($T$2:T11)</f>
        <v>605.00078976381553</v>
      </c>
      <c r="W11" s="5">
        <f>SQRT((U11^2)+(U10^2)+(U9^2)+(U8^2)+(U7^2)+(U6^2)+(U5^2)+(U4^2)+(U3^2)+(U2^2))</f>
        <v>4.2237902622489427</v>
      </c>
      <c r="X11" s="11">
        <f t="shared" si="9"/>
        <v>0.83382863270593377</v>
      </c>
      <c r="Y11" s="5">
        <f t="shared" si="10"/>
        <v>1.8586662938897682E-2</v>
      </c>
      <c r="Z11" s="5">
        <f t="shared" si="11"/>
        <v>3.454640392041926E-4</v>
      </c>
      <c r="AA11" s="11">
        <f>(C11-$AE$6)*24</f>
        <v>150.50000000005821</v>
      </c>
      <c r="AB11" s="16">
        <f t="shared" si="12"/>
        <v>0.99958659513623516</v>
      </c>
      <c r="AC11" s="11">
        <f t="shared" si="13"/>
        <v>0.83417348408147673</v>
      </c>
    </row>
    <row r="12" spans="1:31" x14ac:dyDescent="0.25">
      <c r="A12" s="27" t="s">
        <v>24</v>
      </c>
      <c r="B12" s="24">
        <v>43327.693056076387</v>
      </c>
      <c r="C12" s="13">
        <v>43332.793749999997</v>
      </c>
      <c r="D12" s="14">
        <v>68.849999999999994</v>
      </c>
      <c r="E12" s="5">
        <v>2.23</v>
      </c>
      <c r="F12" s="5">
        <f t="shared" si="3"/>
        <v>1.5353549999999998</v>
      </c>
      <c r="G12" s="11">
        <f t="shared" si="0"/>
        <v>60.94</v>
      </c>
      <c r="H12" s="5">
        <f t="shared" si="14"/>
        <v>1.7053387549791974</v>
      </c>
      <c r="I12" s="15">
        <f t="shared" si="4"/>
        <v>122.4166541666491</v>
      </c>
      <c r="J12" s="10">
        <f t="shared" si="5"/>
        <v>1.6666666666666666E-2</v>
      </c>
      <c r="K12" s="11">
        <f>1-EXP(-$AE$3*I12)</f>
        <v>0.74891575379024511</v>
      </c>
      <c r="L12" s="5">
        <f t="shared" si="6"/>
        <v>1.0196267260209081E-4</v>
      </c>
      <c r="M12" s="11">
        <f>G12/((1+K12))</f>
        <v>34.844445690383317</v>
      </c>
      <c r="N12" s="5">
        <f t="shared" si="1"/>
        <v>0.97509496036732668</v>
      </c>
      <c r="O12" s="11">
        <f>M12*K12</f>
        <v>26.095554309616681</v>
      </c>
      <c r="P12" s="5">
        <f t="shared" si="2"/>
        <v>0.73027261971498081</v>
      </c>
      <c r="Q12" s="11">
        <f t="shared" si="7"/>
        <v>60.94</v>
      </c>
      <c r="R12" s="11">
        <v>0.84010000000000051</v>
      </c>
      <c r="S12" s="5">
        <v>1.4142135623730951E-4</v>
      </c>
      <c r="T12" s="11">
        <f>M12/R12</f>
        <v>41.476545280780023</v>
      </c>
      <c r="U12" s="5">
        <f t="shared" si="8"/>
        <v>1.1607101566849938</v>
      </c>
      <c r="V12" s="11">
        <f>SUM($T$2:T12)</f>
        <v>646.47733504459552</v>
      </c>
      <c r="W12" s="5">
        <f>SQRT((U12^2)+(U11^2)+(U10^2)+(U9^2)+(U8^2)+(U7^2)+(U6^2)+(U5^2)+(U4^2)+(U3^2)+(U2^2))</f>
        <v>4.3803712453741515</v>
      </c>
      <c r="X12" s="11">
        <f t="shared" si="9"/>
        <v>0.58074076150638865</v>
      </c>
      <c r="Y12" s="5">
        <f t="shared" si="10"/>
        <v>1.625158267278878E-2</v>
      </c>
      <c r="Z12" s="5">
        <f t="shared" si="11"/>
        <v>2.6411393937048852E-4</v>
      </c>
      <c r="AA12" s="11">
        <f>(C12-$AE$6)*24</f>
        <v>151.04999999993015</v>
      </c>
      <c r="AB12" s="16">
        <f t="shared" si="12"/>
        <v>0.99958508466780782</v>
      </c>
      <c r="AC12" s="11">
        <f t="shared" si="13"/>
        <v>0.58098181977113661</v>
      </c>
    </row>
    <row r="13" spans="1:31" x14ac:dyDescent="0.25">
      <c r="A13" s="27" t="s">
        <v>25</v>
      </c>
      <c r="B13" s="24">
        <v>43327.693195023145</v>
      </c>
      <c r="C13" s="13">
        <v>43332.816666550927</v>
      </c>
      <c r="D13" s="14">
        <v>47.63</v>
      </c>
      <c r="E13" s="5">
        <v>2.68</v>
      </c>
      <c r="F13" s="5">
        <f t="shared" si="3"/>
        <v>1.2764840000000002</v>
      </c>
      <c r="G13" s="11">
        <f t="shared" si="0"/>
        <v>39.72</v>
      </c>
      <c r="H13" s="5">
        <f t="shared" si="14"/>
        <v>1.4765760039581439</v>
      </c>
      <c r="I13" s="15">
        <f t="shared" si="4"/>
        <v>122.96331666677725</v>
      </c>
      <c r="J13" s="10">
        <f t="shared" si="5"/>
        <v>1.6666666666666666E-2</v>
      </c>
      <c r="K13" s="11">
        <f>1-EXP(-$AE$3*I13)</f>
        <v>0.75046049754130406</v>
      </c>
      <c r="L13" s="5">
        <f t="shared" si="6"/>
        <v>1.0171875074675105E-4</v>
      </c>
      <c r="M13" s="11">
        <f>G13/((1+K13))</f>
        <v>22.691171869225663</v>
      </c>
      <c r="N13" s="5">
        <f t="shared" si="1"/>
        <v>0.84354135425789945</v>
      </c>
      <c r="O13" s="11">
        <f>M13*K13</f>
        <v>17.028828130774333</v>
      </c>
      <c r="P13" s="5">
        <f t="shared" si="2"/>
        <v>0.63304867216598382</v>
      </c>
      <c r="Q13" s="11">
        <f t="shared" si="7"/>
        <v>39.72</v>
      </c>
      <c r="R13" s="11">
        <v>0.8080999999999996</v>
      </c>
      <c r="S13" s="5">
        <v>1.4142135623730951E-4</v>
      </c>
      <c r="T13" s="11">
        <f>M13/R13</f>
        <v>28.079658296282236</v>
      </c>
      <c r="U13" s="5">
        <f t="shared" si="8"/>
        <v>1.0438692009826331</v>
      </c>
      <c r="V13" s="11">
        <f>SUM($T$2:T13)</f>
        <v>674.55699334087774</v>
      </c>
      <c r="W13" s="5">
        <f>SQRT((U13^2)+(U12^2)+(U11^2)+(U10^2)+(U9^2)+(U8^2)+(U7^2)+(U6^2)+(U5^2)+(U4^2)+(U3^2)+(U2^2))</f>
        <v>4.5030339945486553</v>
      </c>
      <c r="X13" s="11">
        <f t="shared" si="9"/>
        <v>0.37818619782042773</v>
      </c>
      <c r="Y13" s="5">
        <f t="shared" si="10"/>
        <v>1.4059022570964991E-2</v>
      </c>
      <c r="Z13" s="5">
        <f t="shared" si="11"/>
        <v>1.9765611565090307E-4</v>
      </c>
      <c r="AA13" s="11">
        <f>(C13-$AE$6)*24</f>
        <v>151.59999722224893</v>
      </c>
      <c r="AB13" s="16">
        <f t="shared" si="12"/>
        <v>0.99958357420929111</v>
      </c>
      <c r="AC13" s="11">
        <f t="shared" si="13"/>
        <v>0.37834374991564612</v>
      </c>
    </row>
    <row r="14" spans="1:31" x14ac:dyDescent="0.25">
      <c r="A14" s="27" t="s">
        <v>26</v>
      </c>
      <c r="B14" s="24">
        <v>43327.69333396991</v>
      </c>
      <c r="C14" s="13">
        <v>43332.839583159723</v>
      </c>
      <c r="D14" s="14">
        <v>32.72</v>
      </c>
      <c r="E14" s="5">
        <v>3.23</v>
      </c>
      <c r="F14" s="5">
        <f t="shared" si="3"/>
        <v>1.056856</v>
      </c>
      <c r="G14" s="11">
        <f t="shared" si="0"/>
        <v>24.81</v>
      </c>
      <c r="H14" s="5">
        <f t="shared" si="14"/>
        <v>1.2914371444034742</v>
      </c>
      <c r="I14" s="15">
        <f t="shared" si="4"/>
        <v>123.50998055550735</v>
      </c>
      <c r="J14" s="10">
        <f t="shared" si="5"/>
        <v>1.6666666666666666E-2</v>
      </c>
      <c r="K14" s="11">
        <f>1-EXP(-$AE$3*I14)</f>
        <v>0.75199574146451886</v>
      </c>
      <c r="L14" s="5">
        <f t="shared" si="6"/>
        <v>1.0147570505129611E-4</v>
      </c>
      <c r="M14" s="11">
        <f>G14/((1+K14))</f>
        <v>14.160993324824497</v>
      </c>
      <c r="N14" s="5">
        <f t="shared" si="1"/>
        <v>0.73712592637708685</v>
      </c>
      <c r="O14" s="11">
        <f>M14*K14</f>
        <v>10.649006675175499</v>
      </c>
      <c r="P14" s="5">
        <f t="shared" si="2"/>
        <v>0.55431742017666796</v>
      </c>
      <c r="Q14" s="11">
        <f t="shared" si="7"/>
        <v>24.809999999999995</v>
      </c>
      <c r="R14" s="11">
        <v>0.79039999999999999</v>
      </c>
      <c r="S14" s="5">
        <v>1.4142135623730951E-4</v>
      </c>
      <c r="T14" s="11">
        <f>M14/R14</f>
        <v>17.91623649395812</v>
      </c>
      <c r="U14" s="5">
        <f t="shared" si="8"/>
        <v>0.9326041004561022</v>
      </c>
      <c r="V14" s="11">
        <f>SUM($T$2:T14)</f>
        <v>692.47322983483582</v>
      </c>
      <c r="W14" s="5">
        <f>SQRT((U14^2)+(U13^2)+(U12^2)+(U11^2)+(U10^2)+(U9^2)+(U8^2)+(U7^2)+(U6^2)+(U5^2)+(U4^2)+(U3^2)+(U2^2))</f>
        <v>4.5985938681566942</v>
      </c>
      <c r="X14" s="11">
        <f t="shared" si="9"/>
        <v>0.23601655541374161</v>
      </c>
      <c r="Y14" s="5">
        <f t="shared" si="10"/>
        <v>1.228543210628478E-2</v>
      </c>
      <c r="Z14" s="5">
        <f t="shared" si="11"/>
        <v>1.5093184203813289E-4</v>
      </c>
      <c r="AA14" s="11">
        <f>(C14-$AE$6)*24</f>
        <v>152.14999583334429</v>
      </c>
      <c r="AB14" s="16">
        <f t="shared" si="12"/>
        <v>0.99958206374924274</v>
      </c>
      <c r="AC14" s="11">
        <f t="shared" si="13"/>
        <v>0.23611523653044381</v>
      </c>
    </row>
    <row r="15" spans="1:31" x14ac:dyDescent="0.25">
      <c r="A15" s="27" t="s">
        <v>27</v>
      </c>
      <c r="B15" s="24">
        <v>43327.693472916668</v>
      </c>
      <c r="C15" s="13">
        <v>43332.862499768518</v>
      </c>
      <c r="D15" s="14">
        <v>24.8</v>
      </c>
      <c r="E15" s="5">
        <v>3.71</v>
      </c>
      <c r="F15" s="5">
        <f t="shared" si="3"/>
        <v>0.92008000000000001</v>
      </c>
      <c r="G15" s="11">
        <f t="shared" si="0"/>
        <v>16.89</v>
      </c>
      <c r="H15" s="5">
        <f t="shared" si="14"/>
        <v>1.1821220324522337</v>
      </c>
      <c r="I15" s="15">
        <f t="shared" si="4"/>
        <v>124.05664444441209</v>
      </c>
      <c r="J15" s="10">
        <f t="shared" si="5"/>
        <v>1.6666666666666666E-2</v>
      </c>
      <c r="K15" s="11">
        <f>1-EXP(-$AE$3*I15)</f>
        <v>0.75352154009446637</v>
      </c>
      <c r="L15" s="5">
        <f t="shared" si="6"/>
        <v>1.0123353240087946E-4</v>
      </c>
      <c r="M15" s="11">
        <f>G15/((1+K15))</f>
        <v>9.63204592233871</v>
      </c>
      <c r="N15" s="5">
        <f t="shared" si="1"/>
        <v>0.67414296502957427</v>
      </c>
      <c r="O15" s="11">
        <f>M15*K15</f>
        <v>7.2579540776612896</v>
      </c>
      <c r="P15" s="5">
        <f t="shared" si="2"/>
        <v>0.50798218110628057</v>
      </c>
      <c r="Q15" s="11">
        <f t="shared" si="7"/>
        <v>16.89</v>
      </c>
      <c r="R15" s="11">
        <v>0.80849999999999955</v>
      </c>
      <c r="S15" s="5">
        <v>1.4142135623730951E-4</v>
      </c>
      <c r="T15" s="11">
        <f>M15/R15</f>
        <v>11.91347671284937</v>
      </c>
      <c r="U15" s="5">
        <f t="shared" si="8"/>
        <v>0.83382197944319258</v>
      </c>
      <c r="V15" s="11">
        <f>SUM($T$2:T15)</f>
        <v>704.38670654768521</v>
      </c>
      <c r="W15" s="5">
        <f>SQRT((U15^2)+(U14^2)+(U13^2)+(U12^2)+(U11^2)+(U10^2)+(U9^2)+(U8^2)+(U7^2)+(U6^2)+(U5^2)+(U4^2)+(U3^2)+(U2^2))</f>
        <v>4.6735772870094827</v>
      </c>
      <c r="X15" s="11">
        <f t="shared" si="9"/>
        <v>0.16053409870564517</v>
      </c>
      <c r="Y15" s="5">
        <f t="shared" si="10"/>
        <v>1.1235716083826239E-2</v>
      </c>
      <c r="Z15" s="5">
        <f t="shared" si="11"/>
        <v>1.2624131591635164E-4</v>
      </c>
      <c r="AA15" s="11">
        <f>(C15-$AE$6)*24</f>
        <v>152.69999444443965</v>
      </c>
      <c r="AB15" s="16">
        <f t="shared" si="12"/>
        <v>0.99958055329147677</v>
      </c>
      <c r="AC15" s="11">
        <f t="shared" si="13"/>
        <v>0.16060146246045823</v>
      </c>
    </row>
    <row r="16" spans="1:31" x14ac:dyDescent="0.25">
      <c r="A16" s="27" t="s">
        <v>28</v>
      </c>
      <c r="B16" s="24">
        <v>43327.693611863426</v>
      </c>
      <c r="C16" s="13">
        <v>43332.885416377314</v>
      </c>
      <c r="D16" s="14">
        <v>18.559999999999999</v>
      </c>
      <c r="E16" s="5">
        <v>4.29</v>
      </c>
      <c r="F16" s="5">
        <f t="shared" si="3"/>
        <v>0.79622399999999993</v>
      </c>
      <c r="G16" s="11">
        <f t="shared" si="0"/>
        <v>10.649999999999999</v>
      </c>
      <c r="H16" s="5">
        <f t="shared" si="14"/>
        <v>1.0885026189150855</v>
      </c>
      <c r="I16" s="15">
        <f t="shared" si="4"/>
        <v>124.60330833331682</v>
      </c>
      <c r="J16" s="10">
        <f t="shared" si="5"/>
        <v>1.6666666666666666E-2</v>
      </c>
      <c r="K16" s="11">
        <f>1-EXP(-$AE$3*I16)</f>
        <v>0.75503795154101261</v>
      </c>
      <c r="L16" s="5">
        <f t="shared" si="6"/>
        <v>1.0099222907753354E-4</v>
      </c>
      <c r="M16" s="11">
        <f>G16/((1+K16))</f>
        <v>6.0682448437361467</v>
      </c>
      <c r="N16" s="5">
        <f t="shared" si="1"/>
        <v>0.62021653155270917</v>
      </c>
      <c r="O16" s="11">
        <f>M16*K16</f>
        <v>4.5817551562638528</v>
      </c>
      <c r="P16" s="5">
        <f t="shared" si="2"/>
        <v>0.46828742050967953</v>
      </c>
      <c r="Q16" s="11">
        <f t="shared" si="7"/>
        <v>10.649999999999999</v>
      </c>
      <c r="R16" s="11">
        <v>0.18879999999999963</v>
      </c>
      <c r="S16" s="5">
        <v>1.4142135623730951E-4</v>
      </c>
      <c r="T16" s="11">
        <f>M16/R16</f>
        <v>32.141127350297452</v>
      </c>
      <c r="U16" s="5">
        <f t="shared" si="8"/>
        <v>3.2851334091210393</v>
      </c>
      <c r="V16" s="11">
        <f>SUM($T$2:T16)</f>
        <v>736.52783389798265</v>
      </c>
      <c r="W16" s="5">
        <f>SQRT((U16^2)+(U15^2)+(U14^2)+(U13^2)+(U12^2)+(U11^2)+(U10^2)+(U9^2)+(U8^2)+(U7^2)+(U6^2)+(U5^2)+(U4^2)+(U3^2)+(U2^2))</f>
        <v>5.7126549146061807</v>
      </c>
      <c r="X16" s="11">
        <f t="shared" si="9"/>
        <v>0.10113741406226912</v>
      </c>
      <c r="Y16" s="5">
        <f t="shared" si="10"/>
        <v>1.0336942192545153E-2</v>
      </c>
      <c r="Z16" s="5">
        <f t="shared" si="11"/>
        <v>1.0685237389202021E-4</v>
      </c>
      <c r="AA16" s="11">
        <f>(C16-$AE$6)*24</f>
        <v>153.24999305553501</v>
      </c>
      <c r="AB16" s="16">
        <f t="shared" si="12"/>
        <v>0.9995790428359933</v>
      </c>
      <c r="AC16" s="11">
        <f t="shared" si="13"/>
        <v>0.1011800065108641</v>
      </c>
    </row>
    <row r="17" spans="1:29" x14ac:dyDescent="0.25">
      <c r="A17" s="27" t="s">
        <v>29</v>
      </c>
      <c r="B17" s="24">
        <v>43327.693750810184</v>
      </c>
      <c r="C17" s="13">
        <v>43332.90833298611</v>
      </c>
      <c r="D17" s="14">
        <v>16.170000000000002</v>
      </c>
      <c r="E17" s="5">
        <v>4.59</v>
      </c>
      <c r="F17" s="5">
        <f t="shared" si="3"/>
        <v>0.74220300000000006</v>
      </c>
      <c r="G17" s="11">
        <f t="shared" si="0"/>
        <v>8.2600000000000016</v>
      </c>
      <c r="H17" s="5">
        <f t="shared" si="14"/>
        <v>1.0496335486339985</v>
      </c>
      <c r="I17" s="15">
        <f>(C17-B17)*24</f>
        <v>125.14997222222155</v>
      </c>
      <c r="J17" s="10">
        <f t="shared" si="5"/>
        <v>1.6666666666666666E-2</v>
      </c>
      <c r="K17" s="11">
        <f>1-EXP(-$AE$3*I17)</f>
        <v>0.75654503355700298</v>
      </c>
      <c r="L17" s="5">
        <f t="shared" si="6"/>
        <v>1.0075179138056457E-4</v>
      </c>
      <c r="M17" s="11">
        <f>G17/((1+K17))</f>
        <v>4.7024128856369281</v>
      </c>
      <c r="N17" s="5">
        <f t="shared" si="1"/>
        <v>0.59755605748073615</v>
      </c>
      <c r="O17" s="11">
        <f>M17*K17</f>
        <v>3.5575871143630731</v>
      </c>
      <c r="P17" s="5">
        <f t="shared" si="2"/>
        <v>0.452078315817106</v>
      </c>
      <c r="Q17" s="11">
        <f t="shared" si="7"/>
        <v>8.2600000000000016</v>
      </c>
      <c r="R17" s="11">
        <v>0.83230000000000004</v>
      </c>
      <c r="S17" s="5">
        <v>1.4142135623731E-4</v>
      </c>
      <c r="T17" s="11">
        <f>M17/R17</f>
        <v>5.6499013404264424</v>
      </c>
      <c r="U17" s="5">
        <f t="shared" si="8"/>
        <v>0.71795817815631713</v>
      </c>
      <c r="V17" s="11">
        <f>SUM($T$2:T17)</f>
        <v>742.17773523840913</v>
      </c>
      <c r="W17" s="5">
        <f>SQRT((U17^2)+(U16^2)+(U15^2)+(U14^2)+(U13^2)+(U12^2)+(U11^2)+(U10^2)+(U9^2)+(U8^2)+(U7^2)+(U6^2)+(U5^2)+(U4^2)+(U3^2)+(U2^2))</f>
        <v>5.7575941259310452</v>
      </c>
      <c r="X17" s="11">
        <f t="shared" si="9"/>
        <v>7.8373548093948794E-2</v>
      </c>
      <c r="Y17" s="5">
        <f>X17*SQRT(((N17/M17)^2))</f>
        <v>9.9592676246789344E-3</v>
      </c>
      <c r="Z17" s="5">
        <f>Y17^2</f>
        <v>9.9187011619977981E-5</v>
      </c>
      <c r="AA17" s="11">
        <f>(C17-$AE$6)*24</f>
        <v>153.79999166663038</v>
      </c>
      <c r="AB17" s="16">
        <f t="shared" si="12"/>
        <v>0.99957753238279234</v>
      </c>
      <c r="AC17" s="11">
        <f t="shared" si="13"/>
        <v>7.8406672373999814E-2</v>
      </c>
    </row>
    <row r="18" spans="1:29" x14ac:dyDescent="0.25">
      <c r="A18" s="27" t="s">
        <v>30</v>
      </c>
      <c r="B18" s="24">
        <v>43327.693889756942</v>
      </c>
      <c r="C18" s="13">
        <v>43332.931249594905</v>
      </c>
      <c r="D18" s="14">
        <v>12.89</v>
      </c>
      <c r="E18" s="5">
        <v>5.14</v>
      </c>
      <c r="F18" s="5">
        <f>D18*(E18/100)</f>
        <v>0.66254599999999997</v>
      </c>
      <c r="G18" s="11">
        <f t="shared" si="0"/>
        <v>4.9800000000000004</v>
      </c>
      <c r="H18" s="5">
        <f>SQRT((F18^2)+(F$17^2))</f>
        <v>0.99490325927951406</v>
      </c>
      <c r="I18" s="15">
        <f t="shared" si="4"/>
        <v>125.69663611112628</v>
      </c>
      <c r="J18" s="10">
        <f t="shared" si="5"/>
        <v>1.6666666666666666E-2</v>
      </c>
      <c r="K18" s="11">
        <f>1-EXP(-$AE$3*I18)</f>
        <v>0.75804284353996931</v>
      </c>
      <c r="L18" s="5">
        <f t="shared" si="6"/>
        <v>1.0051221562654448E-4</v>
      </c>
      <c r="M18" s="11">
        <f>G18/((1+K18))</f>
        <v>2.8326954705906631</v>
      </c>
      <c r="N18" s="5">
        <f t="shared" si="1"/>
        <v>0.56591537689959981</v>
      </c>
      <c r="O18" s="11">
        <f>M18*K18</f>
        <v>2.1473045294093378</v>
      </c>
      <c r="P18" s="5">
        <f t="shared" si="2"/>
        <v>0.42898819599281635</v>
      </c>
      <c r="Q18" s="11">
        <f t="shared" si="7"/>
        <v>4.9800000000000004</v>
      </c>
      <c r="R18" s="11">
        <v>0.80069999999999997</v>
      </c>
      <c r="S18" s="5">
        <v>1.4142135623731E-4</v>
      </c>
      <c r="T18" s="11">
        <f>M18/R18</f>
        <v>3.5377737861754253</v>
      </c>
      <c r="U18" s="5">
        <f t="shared" si="8"/>
        <v>0.70677606851579511</v>
      </c>
      <c r="V18" s="11">
        <f>SUM($T$2:T18)</f>
        <v>745.71550902458455</v>
      </c>
      <c r="W18" s="5">
        <f>SQRT((U18^2)+(U17^2)+(U16^2)+(U15^2)+(U14^2)+(U13^2)+(U12^2)+(U11^2)+(U10^2)+(U9^2)+(U8^2)+(U7^2)+(U6^2)+(U5^2)+(U4^2)+(U3^2)+(U2^2))</f>
        <v>5.8008122301952101</v>
      </c>
      <c r="X18" s="11">
        <f t="shared" si="9"/>
        <v>4.7211591176511053E-2</v>
      </c>
      <c r="Y18" s="5">
        <f t="shared" ref="Y18:Y22" si="15">X18*SQRT(((N18/M18)^2))</f>
        <v>9.4319229483266626E-3</v>
      </c>
      <c r="Z18" s="5">
        <f t="shared" ref="Z18:Z22" si="16">Y18^2</f>
        <v>8.8961170503171129E-5</v>
      </c>
      <c r="AA18" s="11">
        <f>(C18-$AE$6)*24</f>
        <v>154.34999027772574</v>
      </c>
      <c r="AB18" s="16">
        <f t="shared" si="12"/>
        <v>0.99957602193187367</v>
      </c>
      <c r="AC18" s="11">
        <f t="shared" si="13"/>
        <v>4.72316163459639E-2</v>
      </c>
    </row>
    <row r="19" spans="1:29" x14ac:dyDescent="0.25">
      <c r="A19" s="27" t="s">
        <v>31</v>
      </c>
      <c r="B19" s="24">
        <v>43327.694028703707</v>
      </c>
      <c r="C19" s="13">
        <v>43332.954166203701</v>
      </c>
      <c r="D19" s="14">
        <v>11.973000000000001</v>
      </c>
      <c r="E19" s="5">
        <v>5.34</v>
      </c>
      <c r="F19" s="5">
        <f t="shared" si="3"/>
        <v>0.63935819999999999</v>
      </c>
      <c r="G19" s="11">
        <f t="shared" si="0"/>
        <v>4.0630000000000006</v>
      </c>
      <c r="H19" s="5">
        <f>SQRT((F19^2)+(F$17^2))</f>
        <v>0.97961431242925401</v>
      </c>
      <c r="I19" s="15">
        <f t="shared" si="4"/>
        <v>126.24329999985639</v>
      </c>
      <c r="J19" s="10">
        <f t="shared" si="5"/>
        <v>1.6666666666666666E-2</v>
      </c>
      <c r="K19" s="11">
        <f>1-EXP(-$AE$3*I19)</f>
        <v>0.75953143853384242</v>
      </c>
      <c r="L19" s="5">
        <f t="shared" si="6"/>
        <v>1.0027349814930198E-4</v>
      </c>
      <c r="M19" s="11">
        <f>G19/((1+K19))</f>
        <v>2.3091374845712105</v>
      </c>
      <c r="N19" s="5">
        <f t="shared" si="1"/>
        <v>0.55674734638485868</v>
      </c>
      <c r="O19" s="11">
        <f>M19*K19</f>
        <v>1.7538625154287899</v>
      </c>
      <c r="P19" s="5">
        <f t="shared" si="2"/>
        <v>0.42286717629210524</v>
      </c>
      <c r="Q19" s="11">
        <f t="shared" si="7"/>
        <v>4.0630000000000006</v>
      </c>
      <c r="R19" s="11">
        <v>0.82939999999999969</v>
      </c>
      <c r="S19" s="5">
        <v>1.4142135623731E-4</v>
      </c>
      <c r="T19" s="11">
        <f>M19/R19</f>
        <v>2.7841059616243204</v>
      </c>
      <c r="U19" s="5">
        <f t="shared" si="8"/>
        <v>0.67126535520690078</v>
      </c>
      <c r="V19" s="11">
        <f>SUM($T$2:T19)</f>
        <v>748.49961498620883</v>
      </c>
      <c r="W19" s="5">
        <f>SQRT((U19^2)+(U18^2)+(U17^2)+(U16^2)+(U15^2)+(U14^2)+(U13^2)+(U12^2)+(U11^2)+(U10^2)+(U9^2)+(U8^2)+(U7^2)+(U6^2)+(U5^2)+(U4^2)+(U3^2)+(U2^2))</f>
        <v>5.8395222156511544</v>
      </c>
      <c r="X19" s="11">
        <f t="shared" si="9"/>
        <v>3.8485624742853511E-2</v>
      </c>
      <c r="Y19" s="5">
        <f t="shared" si="15"/>
        <v>9.2791224397476453E-3</v>
      </c>
      <c r="Z19" s="5">
        <f t="shared" si="16"/>
        <v>8.6102113251828295E-5</v>
      </c>
      <c r="AA19" s="11">
        <f>(C19-$AE$6)*24</f>
        <v>154.8999888888211</v>
      </c>
      <c r="AB19" s="16">
        <f t="shared" si="12"/>
        <v>0.9995745114832375</v>
      </c>
      <c r="AC19" s="11">
        <f t="shared" si="13"/>
        <v>3.8502006904663759E-2</v>
      </c>
    </row>
    <row r="20" spans="1:29" x14ac:dyDescent="0.25">
      <c r="A20" s="27" t="s">
        <v>32</v>
      </c>
      <c r="B20" s="24">
        <v>43327.694167650465</v>
      </c>
      <c r="C20" s="13">
        <v>43332.977082812497</v>
      </c>
      <c r="D20" s="14">
        <v>10.85</v>
      </c>
      <c r="E20" s="5">
        <v>5.61</v>
      </c>
      <c r="F20" s="5">
        <f t="shared" si="3"/>
        <v>0.60868500000000003</v>
      </c>
      <c r="G20" s="11">
        <f t="shared" si="0"/>
        <v>2.9399999999999995</v>
      </c>
      <c r="H20" s="5">
        <f t="shared" ref="H20:H22" si="17">SQRT((F20^2)+(F$17^2))</f>
        <v>0.95987640997890988</v>
      </c>
      <c r="I20" s="15">
        <f t="shared" si="4"/>
        <v>126.78996388876112</v>
      </c>
      <c r="J20" s="10">
        <f t="shared" si="5"/>
        <v>1.6666666666666666E-2</v>
      </c>
      <c r="K20" s="11">
        <f>1-EXP(-$AE$3*I20)</f>
        <v>0.76101087523302313</v>
      </c>
      <c r="L20" s="5">
        <f t="shared" si="6"/>
        <v>1.000356352995329E-4</v>
      </c>
      <c r="M20" s="11">
        <f>G20/((1+K20))</f>
        <v>1.6694956523825943</v>
      </c>
      <c r="N20" s="5">
        <f t="shared" si="1"/>
        <v>0.54507130039809848</v>
      </c>
      <c r="O20" s="11">
        <f>M20*K20</f>
        <v>1.2705043476174052</v>
      </c>
      <c r="P20" s="5">
        <f t="shared" si="2"/>
        <v>0.41480522100099015</v>
      </c>
      <c r="Q20" s="11">
        <f t="shared" si="7"/>
        <v>2.9399999999999995</v>
      </c>
      <c r="R20" s="11">
        <v>0.82370000000000054</v>
      </c>
      <c r="S20" s="5">
        <v>1.4142135623731E-4</v>
      </c>
      <c r="T20" s="11">
        <f>M20/R20</f>
        <v>2.0268248784540406</v>
      </c>
      <c r="U20" s="5">
        <f t="shared" si="8"/>
        <v>0.66173531111415562</v>
      </c>
      <c r="V20" s="11">
        <f>SUM($T$2:T20)</f>
        <v>750.52643986466285</v>
      </c>
      <c r="W20" s="5">
        <f>SQRT((U20^2)+(U19^2)+(U18^2)+(U17^2)+(U16^2)+(U15^2)+(U14^2)+(U13^2)+(U12^2)+(U11^2)+(U10^2)+(U9^2)+(U8^2)+(U7^2)+(U6^2)+(U5^2)+(U4^2)+(U3^2)+(U2^2))</f>
        <v>5.8768965729421101</v>
      </c>
      <c r="X20" s="11">
        <f t="shared" si="9"/>
        <v>2.7824927539709905E-2</v>
      </c>
      <c r="Y20" s="5">
        <f t="shared" si="15"/>
        <v>9.0845216733016418E-3</v>
      </c>
      <c r="Z20" s="5">
        <f t="shared" si="16"/>
        <v>8.252853403268726E-5</v>
      </c>
      <c r="AA20" s="11">
        <f>(C20-$AE$6)*24</f>
        <v>155.44998749991646</v>
      </c>
      <c r="AB20" s="16">
        <f t="shared" si="12"/>
        <v>0.99957300103688373</v>
      </c>
      <c r="AC20" s="11">
        <f t="shared" si="13"/>
        <v>2.7836813830351925E-2</v>
      </c>
    </row>
    <row r="21" spans="1:29" x14ac:dyDescent="0.25">
      <c r="A21" s="27" t="s">
        <v>33</v>
      </c>
      <c r="B21" s="24">
        <v>43327.694306597223</v>
      </c>
      <c r="C21" s="13">
        <v>43332.999999421299</v>
      </c>
      <c r="D21" s="14">
        <v>10.37</v>
      </c>
      <c r="E21" s="5">
        <v>5.74</v>
      </c>
      <c r="F21" s="5">
        <f t="shared" si="3"/>
        <v>0.59523799999999993</v>
      </c>
      <c r="G21" s="11">
        <f t="shared" si="0"/>
        <v>2.4599999999999991</v>
      </c>
      <c r="H21" s="5">
        <f t="shared" si="17"/>
        <v>0.9514061014377615</v>
      </c>
      <c r="I21" s="15">
        <f t="shared" si="4"/>
        <v>127.33662777784048</v>
      </c>
      <c r="J21" s="10">
        <f t="shared" si="5"/>
        <v>1.6666666666666666E-2</v>
      </c>
      <c r="K21" s="11">
        <f>1-EXP(-$AE$3*I21)</f>
        <v>0.76248120998215707</v>
      </c>
      <c r="L21" s="5">
        <f t="shared" si="6"/>
        <v>9.9798623445097816E-5</v>
      </c>
      <c r="M21" s="11">
        <f>G21/((1+K21))</f>
        <v>1.3957595610479747</v>
      </c>
      <c r="N21" s="5">
        <f t="shared" si="1"/>
        <v>0.53981066608415307</v>
      </c>
      <c r="O21" s="11">
        <f>M21*K21</f>
        <v>1.0642404389520241</v>
      </c>
      <c r="P21" s="5">
        <f t="shared" si="2"/>
        <v>0.41159551340766881</v>
      </c>
      <c r="Q21" s="11">
        <f t="shared" si="7"/>
        <v>2.4599999999999991</v>
      </c>
      <c r="R21" s="11">
        <v>0.96</v>
      </c>
      <c r="S21" s="5">
        <v>1.4142135623731E-4</v>
      </c>
      <c r="T21" s="11">
        <f>M21/R21</f>
        <v>1.4539162094249738</v>
      </c>
      <c r="U21" s="5">
        <f t="shared" si="8"/>
        <v>0.56230281796215198</v>
      </c>
      <c r="V21" s="11">
        <f>SUM($T$2:T21)</f>
        <v>751.98035607408781</v>
      </c>
      <c r="W21" s="5">
        <f>SQRT((U21^2)+(U20^2)+(U19^2)+(U18^2)+(U17^2)+(U16^2)+(U15^2)+(U14^2)+(U13^2)+(U12^2)+(U11^2)+(U10^2)+(U9^2)+(U8^2)+(U7^2)+(U6^2)+(U5^2)+(U4^2)+(U3^2)+(U2^2))</f>
        <v>5.9037359178868165</v>
      </c>
      <c r="X21" s="11">
        <f t="shared" si="9"/>
        <v>2.3262659350799578E-2</v>
      </c>
      <c r="Y21" s="5">
        <f t="shared" si="15"/>
        <v>8.9968444347358848E-3</v>
      </c>
      <c r="Z21" s="5">
        <f t="shared" si="16"/>
        <v>8.0943209782838061E-5</v>
      </c>
      <c r="AA21" s="11">
        <f>(C21-$AE$6)*24</f>
        <v>155.99998611118644</v>
      </c>
      <c r="AB21" s="16">
        <f t="shared" si="12"/>
        <v>0.99957149059281192</v>
      </c>
      <c r="AC21" s="11">
        <f t="shared" si="13"/>
        <v>2.3272631892495538E-2</v>
      </c>
    </row>
    <row r="22" spans="1:29" ht="15.75" thickBot="1" x14ac:dyDescent="0.3">
      <c r="A22" s="28" t="s">
        <v>11</v>
      </c>
      <c r="B22" s="24">
        <v>43327.691666608793</v>
      </c>
      <c r="C22" s="13">
        <v>43333.022916030095</v>
      </c>
      <c r="D22" s="14">
        <v>7.91</v>
      </c>
      <c r="E22" s="5">
        <v>6.57</v>
      </c>
      <c r="F22" s="5">
        <f t="shared" si="3"/>
        <v>0.51968700000000012</v>
      </c>
      <c r="G22" s="11">
        <f t="shared" si="0"/>
        <v>0</v>
      </c>
      <c r="H22" s="5">
        <f t="shared" si="17"/>
        <v>0.90605732223629221</v>
      </c>
      <c r="I22" s="15">
        <f>(C22-B22)*24</f>
        <v>127.94998611125629</v>
      </c>
      <c r="J22" s="10">
        <f t="shared" si="5"/>
        <v>1.6666666666666666E-2</v>
      </c>
      <c r="K22" s="11">
        <f>1-EXP(-$AE$3*I22)</f>
        <v>0.76412016344757894</v>
      </c>
      <c r="L22" s="5">
        <f t="shared" si="6"/>
        <v>9.9533704102053568E-5</v>
      </c>
      <c r="M22" s="11">
        <f>G22/((1+K22))</f>
        <v>0</v>
      </c>
      <c r="N22" s="5" t="e">
        <f t="shared" si="1"/>
        <v>#DIV/0!</v>
      </c>
      <c r="O22" s="11">
        <f>M22*K22</f>
        <v>0</v>
      </c>
      <c r="P22" s="5" t="e">
        <f t="shared" si="2"/>
        <v>#DIV/0!</v>
      </c>
      <c r="Q22" s="11">
        <f t="shared" si="7"/>
        <v>0</v>
      </c>
      <c r="R22" s="11"/>
      <c r="S22" s="5">
        <v>1.4142135623731E-4</v>
      </c>
      <c r="T22" s="11"/>
      <c r="U22" s="5" t="e">
        <f t="shared" si="8"/>
        <v>#DIV/0!</v>
      </c>
      <c r="V22" s="11"/>
      <c r="W22" s="11"/>
      <c r="X22" s="11"/>
      <c r="Y22" s="5" t="e">
        <f t="shared" si="15"/>
        <v>#DIV/0!</v>
      </c>
      <c r="Z22" s="5" t="e">
        <f t="shared" si="16"/>
        <v>#DIV/0!</v>
      </c>
      <c r="AA22" s="11"/>
      <c r="AB22" s="11"/>
      <c r="AC22" s="11"/>
    </row>
    <row r="23" spans="1:29" x14ac:dyDescent="0.25">
      <c r="Y23" s="12" t="s">
        <v>53</v>
      </c>
      <c r="Z23" s="2"/>
      <c r="AB23" s="2"/>
      <c r="AC23">
        <f>SUM(AC2:AC21)</f>
        <v>10.045680862797802</v>
      </c>
    </row>
    <row r="24" spans="1:29" x14ac:dyDescent="0.25">
      <c r="W24" s="6" t="s">
        <v>54</v>
      </c>
      <c r="X24" s="2">
        <f>SUM(X2:X21)</f>
        <v>10.041553178846813</v>
      </c>
      <c r="Y24" s="6">
        <f>SQRT(SUM(Z2:Z21))</f>
        <v>6.903953902082241E-2</v>
      </c>
    </row>
    <row r="27" spans="1:29" x14ac:dyDescent="0.25">
      <c r="G27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CT29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2021-06-16T16:45:37Z</dcterms:modified>
</cp:coreProperties>
</file>